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RVSDC02\Dpto. CTAP\1. Actividad Cientifico-Técnica\20. Colaboraciones y asistencia técnica\3. PPFF\3. MODELOS\Refinamiento frutales densos\"/>
    </mc:Choice>
  </mc:AlternateContent>
  <xr:revisionPtr revIDLastSave="0" documentId="13_ncr:1_{ED2B0F80-9056-4FEE-91F5-53D2B2F50088}" xr6:coauthVersionLast="47" xr6:coauthVersionMax="47" xr10:uidLastSave="{00000000-0000-0000-0000-000000000000}"/>
  <bookViews>
    <workbookView xWindow="-120" yWindow="-120" windowWidth="29040" windowHeight="15840" activeTab="1" xr2:uid="{37AAB52D-23D7-4BC5-8366-4D2E9823C02F}"/>
  </bookViews>
  <sheets>
    <sheet name="Instrucciones" sheetId="5" r:id="rId1"/>
    <sheet name="Calculador" sheetId="1" r:id="rId2"/>
    <sheet name="Raw data" sheetId="2" r:id="rId3"/>
    <sheet name="Raw data 2" sheetId="4" r:id="rId4"/>
    <sheet name="Small Tables"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E1" i="2"/>
  <c r="B1" i="4"/>
  <c r="C20" i="4" s="1"/>
  <c r="O7" i="1"/>
  <c r="N7" i="1"/>
  <c r="B5" i="2" l="1"/>
  <c r="K5" i="1" s="1"/>
  <c r="B6" i="2"/>
  <c r="K6" i="1" s="1"/>
  <c r="B7" i="2"/>
  <c r="K7" i="1" s="1"/>
  <c r="B8" i="2"/>
  <c r="K8" i="1" s="1"/>
  <c r="B9" i="2"/>
  <c r="B10" i="2"/>
  <c r="K12" i="1" s="1"/>
  <c r="B12" i="2"/>
  <c r="L5" i="1" s="1"/>
  <c r="B13" i="2"/>
  <c r="L6" i="1" s="1"/>
  <c r="B14" i="2"/>
  <c r="L7" i="1" s="1"/>
  <c r="B15" i="2"/>
  <c r="L8" i="1" s="1"/>
  <c r="B16" i="2"/>
  <c r="B17" i="2"/>
  <c r="L12" i="1" s="1"/>
  <c r="O8" i="1"/>
  <c r="I28" i="1"/>
  <c r="N8" i="1"/>
  <c r="C28" i="1"/>
  <c r="C13" i="4"/>
  <c r="C12" i="4"/>
  <c r="C14" i="4"/>
  <c r="C15" i="4"/>
  <c r="B20" i="4"/>
  <c r="B22" i="4"/>
  <c r="C6" i="4"/>
  <c r="B4" i="4"/>
  <c r="B24" i="4"/>
  <c r="C3" i="4"/>
  <c r="C5" i="4"/>
  <c r="B14" i="4"/>
  <c r="B8" i="4"/>
  <c r="C21" i="4"/>
  <c r="C4" i="4"/>
  <c r="C9" i="4"/>
  <c r="C11" i="4"/>
  <c r="B9" i="4"/>
  <c r="C22" i="4"/>
  <c r="C23" i="4"/>
  <c r="C24" i="4"/>
  <c r="C25" i="4"/>
  <c r="C16" i="4"/>
  <c r="C7" i="4"/>
  <c r="C17" i="4"/>
  <c r="C8" i="4"/>
  <c r="B19" i="4"/>
  <c r="B11" i="4"/>
  <c r="B21" i="4"/>
  <c r="B12" i="4"/>
  <c r="B3" i="4"/>
  <c r="B13" i="4"/>
  <c r="B23" i="4"/>
  <c r="B5" i="4"/>
  <c r="B25" i="4"/>
  <c r="B15" i="4"/>
  <c r="B6" i="4"/>
  <c r="B16" i="4"/>
  <c r="C19" i="4"/>
  <c r="B7" i="4"/>
  <c r="B17" i="4"/>
  <c r="O10" i="1"/>
  <c r="I30" i="1" s="1"/>
  <c r="O9" i="1"/>
  <c r="I29" i="1" s="1"/>
  <c r="O6" i="1"/>
  <c r="O5" i="1"/>
  <c r="I27" i="1" s="1"/>
  <c r="N10" i="1"/>
  <c r="C30" i="1" s="1"/>
  <c r="N9" i="1"/>
  <c r="C29" i="1" s="1"/>
  <c r="N6" i="1"/>
  <c r="N5" i="1"/>
  <c r="C27" i="1" s="1"/>
  <c r="C19" i="1" l="1"/>
  <c r="E19" i="1" s="1"/>
  <c r="I19" i="1"/>
  <c r="K19" i="1" s="1"/>
  <c r="K18" i="1"/>
  <c r="C18" i="1"/>
  <c r="E18" i="1" s="1"/>
  <c r="K11" i="1"/>
  <c r="K9" i="1"/>
  <c r="K10" i="1" s="1"/>
  <c r="L9" i="1"/>
  <c r="L10" i="1" s="1"/>
  <c r="L11" i="1"/>
  <c r="C21" i="1"/>
  <c r="E21" i="1" s="1"/>
  <c r="J19" i="1"/>
  <c r="L19" i="1" s="1"/>
  <c r="I21" i="1"/>
  <c r="K21" i="1" s="1"/>
  <c r="D18" i="1"/>
  <c r="F18" i="1" s="1"/>
  <c r="E27" i="1"/>
  <c r="C31" i="1"/>
  <c r="E31" i="1" s="1"/>
  <c r="D27" i="1"/>
  <c r="D28" i="1"/>
  <c r="F28" i="1" s="1"/>
  <c r="E28" i="1"/>
  <c r="D29" i="1"/>
  <c r="F29" i="1" s="1"/>
  <c r="E29" i="1"/>
  <c r="J29" i="1"/>
  <c r="L29" i="1" s="1"/>
  <c r="K29" i="1"/>
  <c r="J30" i="1"/>
  <c r="L30" i="1" s="1"/>
  <c r="K30" i="1"/>
  <c r="D30" i="1"/>
  <c r="F30" i="1" s="1"/>
  <c r="E30" i="1"/>
  <c r="J28" i="1"/>
  <c r="L28" i="1" s="1"/>
  <c r="K28" i="1"/>
  <c r="I31" i="1"/>
  <c r="K31" i="1" s="1"/>
  <c r="J27" i="1"/>
  <c r="K27" i="1"/>
  <c r="D19" i="1"/>
  <c r="F19" i="1" s="1"/>
  <c r="J18" i="1"/>
  <c r="J21" i="1" l="1"/>
  <c r="L21" i="1" s="1"/>
  <c r="D21" i="1"/>
  <c r="F21" i="1" s="1"/>
  <c r="I20" i="1"/>
  <c r="F27" i="1"/>
  <c r="D31" i="1"/>
  <c r="F31" i="1" s="1"/>
  <c r="L27" i="1"/>
  <c r="J31" i="1"/>
  <c r="L31" i="1" s="1"/>
  <c r="J20" i="1"/>
  <c r="L20" i="1" s="1"/>
  <c r="K20" i="1"/>
  <c r="I22" i="1"/>
  <c r="K22" i="1" s="1"/>
  <c r="B40" i="1" s="1"/>
  <c r="B41" i="1" s="1"/>
  <c r="L18" i="1"/>
  <c r="C20" i="1"/>
  <c r="D20" i="1" s="1"/>
  <c r="J22" i="1" l="1"/>
  <c r="L22" i="1" s="1"/>
  <c r="D40" i="1" s="1"/>
  <c r="D41" i="1" s="1"/>
  <c r="E20" i="1"/>
  <c r="C22" i="1"/>
  <c r="E22" i="1" s="1"/>
  <c r="B36" i="1" s="1"/>
  <c r="B37" i="1" s="1"/>
  <c r="F20" i="1" l="1"/>
  <c r="D22" i="1"/>
  <c r="F22" i="1" s="1"/>
  <c r="D36" i="1" s="1"/>
  <c r="D37" i="1" s="1"/>
</calcChain>
</file>

<file path=xl/sharedStrings.xml><?xml version="1.0" encoding="utf-8"?>
<sst xmlns="http://schemas.openxmlformats.org/spreadsheetml/2006/main" count="222" uniqueCount="81">
  <si>
    <t>Manos</t>
  </si>
  <si>
    <t>Cantidad de sustancia activa</t>
  </si>
  <si>
    <t>Manos protegidas</t>
  </si>
  <si>
    <t>Cuerpo</t>
  </si>
  <si>
    <t>Cuerpo protegido</t>
  </si>
  <si>
    <t>Cabeza</t>
  </si>
  <si>
    <t>Inhalatoria</t>
  </si>
  <si>
    <t>Percentil 75</t>
  </si>
  <si>
    <t>Percentil 95</t>
  </si>
  <si>
    <t>Mezcla/Carga</t>
  </si>
  <si>
    <t>AD Producto</t>
  </si>
  <si>
    <t>AD Dilución</t>
  </si>
  <si>
    <t>Producto</t>
  </si>
  <si>
    <t>Sustancia activa</t>
  </si>
  <si>
    <t>AOEL</t>
  </si>
  <si>
    <t>AAOEL</t>
  </si>
  <si>
    <t>Equipo aplicación</t>
  </si>
  <si>
    <t>Manual hand-held</t>
  </si>
  <si>
    <t>Equipo de aplicación</t>
  </si>
  <si>
    <t>Aplicación</t>
  </si>
  <si>
    <t>Percentil 75 de la exp potencial normalizada cuerpo</t>
  </si>
  <si>
    <t>µg/kg s.a./día</t>
  </si>
  <si>
    <t>Percentil 95 de la exp potencial normalizada cuerpo</t>
  </si>
  <si>
    <t>Aplicación cuerpo</t>
  </si>
  <si>
    <t>Mezcla/carga mochila percentil 75</t>
  </si>
  <si>
    <t>Mezcla/carga mochila percentil 95</t>
  </si>
  <si>
    <t>Cantidad sustancia activa</t>
  </si>
  <si>
    <t>Tanque lanza: formulación líquida</t>
  </si>
  <si>
    <t>Cabeza con pantalla</t>
  </si>
  <si>
    <t>percentil 75</t>
  </si>
  <si>
    <t>percentil 95</t>
  </si>
  <si>
    <t>Tanque lanza: formulación WP</t>
  </si>
  <si>
    <t>Tanque lanza: Formulación WG</t>
  </si>
  <si>
    <t>Manual Knapsack</t>
  </si>
  <si>
    <t>Formulación</t>
  </si>
  <si>
    <t>Líquidas (SC, EC…)</t>
  </si>
  <si>
    <t>WP, SP</t>
  </si>
  <si>
    <t>WG, SG</t>
  </si>
  <si>
    <t>Mezcla/carga</t>
  </si>
  <si>
    <t>Longer term exposure</t>
  </si>
  <si>
    <t>Sin EPI</t>
  </si>
  <si>
    <t>Con EPI</t>
  </si>
  <si>
    <t>Suma</t>
  </si>
  <si>
    <t>[µg a.s. /day]</t>
  </si>
  <si>
    <t>Cabeza con gafas</t>
  </si>
  <si>
    <t>EPI Respiratorio</t>
  </si>
  <si>
    <t>No</t>
  </si>
  <si>
    <t>FP1, P1 o similar</t>
  </si>
  <si>
    <t>FP2, P2 o similar</t>
  </si>
  <si>
    <t>EPI Cabeza</t>
  </si>
  <si>
    <t>Gafas</t>
  </si>
  <si>
    <t>Pantalla</t>
  </si>
  <si>
    <t>EPI cuerpo</t>
  </si>
  <si>
    <t>C1 o tipo 6</t>
  </si>
  <si>
    <t>C3 o tipo 3</t>
  </si>
  <si>
    <t>EPI Manos</t>
  </si>
  <si>
    <t>Guantes</t>
  </si>
  <si>
    <t>[µg a.s. /day/ kg bw]</t>
  </si>
  <si>
    <t>Acute exposure</t>
  </si>
  <si>
    <t>Potencial</t>
  </si>
  <si>
    <t xml:space="preserve">Longer term exposure </t>
  </si>
  <si>
    <t>mg sa/day/bw</t>
  </si>
  <si>
    <t>% AOEL</t>
  </si>
  <si>
    <t xml:space="preserve">Acute exposure </t>
  </si>
  <si>
    <t>% AAOEL</t>
  </si>
  <si>
    <t>kg sa/ha</t>
  </si>
  <si>
    <t>NATIVUS</t>
  </si>
  <si>
    <t>Spinosad</t>
  </si>
  <si>
    <t>Cantidad de s.a/ha</t>
  </si>
  <si>
    <t>Versión (fecha)</t>
  </si>
  <si>
    <t>cambios</t>
  </si>
  <si>
    <t>Versión inicial</t>
  </si>
  <si>
    <t>Parámetros de entrada</t>
  </si>
  <si>
    <t>%</t>
  </si>
  <si>
    <t>Selección de EPI</t>
  </si>
  <si>
    <t>Tipo de protección</t>
  </si>
  <si>
    <t>Dotación de EPI</t>
  </si>
  <si>
    <t>Exposición por parte del cuerpo</t>
  </si>
  <si>
    <t>Exposición unitaria (µg/kg s.a./día)</t>
  </si>
  <si>
    <t>Cálculo de exposición</t>
  </si>
  <si>
    <t>Absorción inhalatoria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</si>
</sst>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i/>
      <sz val="11"/>
      <name val="Aptos Narrow"/>
      <family val="2"/>
      <scheme val="minor"/>
    </font>
    <font>
      <b/>
      <sz val="11"/>
      <name val="Aptos Narrow"/>
      <family val="2"/>
      <scheme val="minor"/>
    </font>
    <font>
      <i/>
      <sz val="11"/>
      <name val="Aptos Narrow"/>
      <family val="2"/>
      <scheme val="minor"/>
    </font>
  </fonts>
  <fills count="9">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rgb="FF8EA9DB"/>
        <bgColor indexed="64"/>
      </patternFill>
    </fill>
    <fill>
      <patternFill patternType="solid">
        <fgColor rgb="FFD9E1F2"/>
        <bgColor indexed="64"/>
      </patternFill>
    </fill>
    <fill>
      <patternFill patternType="solid">
        <fgColor rgb="FFB4C6E7"/>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diagonal style="thin">
        <color indexed="64"/>
      </diagonal>
    </border>
    <border>
      <left style="medium">
        <color indexed="64"/>
      </left>
      <right style="medium">
        <color indexed="64"/>
      </right>
      <top/>
      <bottom style="thin">
        <color indexed="64"/>
      </bottom>
      <diagonal/>
    </border>
  </borders>
  <cellStyleXfs count="1">
    <xf numFmtId="0" fontId="0" fillId="0" borderId="0"/>
  </cellStyleXfs>
  <cellXfs count="100">
    <xf numFmtId="0" fontId="0" fillId="0" borderId="0" xfId="0"/>
    <xf numFmtId="0" fontId="1" fillId="0" borderId="0" xfId="0" applyFont="1"/>
    <xf numFmtId="0" fontId="0" fillId="0" borderId="0" xfId="0" applyAlignment="1">
      <alignment horizontal="center"/>
    </xf>
    <xf numFmtId="17" fontId="0" fillId="0" borderId="0" xfId="0" applyNumberFormat="1" applyAlignment="1">
      <alignment horizontal="left" vertical="top"/>
    </xf>
    <xf numFmtId="0" fontId="0" fillId="3" borderId="0" xfId="0" applyFill="1"/>
    <xf numFmtId="0" fontId="0" fillId="0" borderId="0" xfId="0" applyProtection="1">
      <protection locked="0"/>
    </xf>
    <xf numFmtId="0" fontId="0" fillId="3" borderId="1" xfId="0" applyFill="1" applyBorder="1"/>
    <xf numFmtId="0" fontId="1" fillId="3" borderId="4" xfId="0" applyFont="1"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1" fillId="3" borderId="0" xfId="0" applyFont="1" applyFill="1" applyAlignment="1">
      <alignment horizontal="center"/>
    </xf>
    <xf numFmtId="0" fontId="1" fillId="3" borderId="33" xfId="0" applyFont="1" applyFill="1" applyBorder="1"/>
    <xf numFmtId="0" fontId="0" fillId="3" borderId="0" xfId="0" applyFill="1" applyAlignment="1">
      <alignment horizontal="center"/>
    </xf>
    <xf numFmtId="0" fontId="0" fillId="3" borderId="33" xfId="0" applyFill="1" applyBorder="1"/>
    <xf numFmtId="0" fontId="0" fillId="3" borderId="34" xfId="0" applyFill="1" applyBorder="1"/>
    <xf numFmtId="0" fontId="0" fillId="3" borderId="36" xfId="0" applyFill="1" applyBorder="1"/>
    <xf numFmtId="0" fontId="0" fillId="3" borderId="29" xfId="0" applyFill="1" applyBorder="1"/>
    <xf numFmtId="0" fontId="0" fillId="3" borderId="38" xfId="0" applyFill="1" applyBorder="1"/>
    <xf numFmtId="0" fontId="0" fillId="3" borderId="39" xfId="0" applyFill="1" applyBorder="1"/>
    <xf numFmtId="0" fontId="0" fillId="3" borderId="40" xfId="0" applyFill="1" applyBorder="1"/>
    <xf numFmtId="0" fontId="0" fillId="2" borderId="12" xfId="0" applyFill="1" applyBorder="1" applyAlignment="1" applyProtection="1">
      <alignment horizontal="center" vertical="center"/>
      <protection locked="0"/>
    </xf>
    <xf numFmtId="0" fontId="0" fillId="3" borderId="17" xfId="0" applyFill="1" applyBorder="1" applyAlignment="1">
      <alignment horizontal="center" vertical="center"/>
    </xf>
    <xf numFmtId="0" fontId="0" fillId="2" borderId="10" xfId="0" applyFill="1" applyBorder="1" applyAlignment="1" applyProtection="1">
      <alignment horizontal="center" vertical="center"/>
      <protection locked="0"/>
    </xf>
    <xf numFmtId="0" fontId="0" fillId="3" borderId="19" xfId="0" applyFill="1" applyBorder="1" applyAlignment="1">
      <alignment horizontal="center" vertical="center"/>
    </xf>
    <xf numFmtId="0" fontId="0" fillId="2" borderId="22" xfId="0" applyFill="1" applyBorder="1" applyAlignment="1" applyProtection="1">
      <alignment horizontal="center" vertical="center"/>
      <protection locked="0"/>
    </xf>
    <xf numFmtId="0" fontId="0" fillId="3" borderId="23" xfId="0" applyFill="1" applyBorder="1" applyAlignment="1">
      <alignment horizontal="center" vertical="center"/>
    </xf>
    <xf numFmtId="0" fontId="1" fillId="3" borderId="24" xfId="0" applyFont="1" applyFill="1" applyBorder="1" applyAlignment="1">
      <alignment horizontal="center" vertical="center"/>
    </xf>
    <xf numFmtId="0" fontId="1" fillId="3" borderId="26" xfId="0" applyFont="1" applyFill="1" applyBorder="1" applyAlignment="1">
      <alignment horizontal="center" vertical="center"/>
    </xf>
    <xf numFmtId="0" fontId="0" fillId="3" borderId="27" xfId="0" applyFill="1" applyBorder="1" applyAlignment="1">
      <alignment horizontal="center" vertical="center"/>
    </xf>
    <xf numFmtId="0" fontId="0" fillId="2" borderId="28" xfId="0" applyFill="1" applyBorder="1" applyAlignment="1" applyProtection="1">
      <alignment horizontal="center" vertical="center"/>
      <protection locked="0"/>
    </xf>
    <xf numFmtId="0" fontId="0" fillId="3" borderId="18" xfId="0" applyFill="1" applyBorder="1" applyAlignment="1">
      <alignment horizontal="center" vertical="center"/>
    </xf>
    <xf numFmtId="0" fontId="0" fillId="2" borderId="19" xfId="0" applyFill="1" applyBorder="1" applyAlignment="1" applyProtection="1">
      <alignment horizontal="center" vertical="center"/>
      <protection locked="0"/>
    </xf>
    <xf numFmtId="0" fontId="0" fillId="3" borderId="21" xfId="0" applyFill="1" applyBorder="1" applyAlignment="1">
      <alignment horizontal="center" vertical="center"/>
    </xf>
    <xf numFmtId="0" fontId="0" fillId="2" borderId="23" xfId="0" applyFill="1" applyBorder="1" applyAlignment="1" applyProtection="1">
      <alignment horizontal="center" vertical="center"/>
      <protection locked="0"/>
    </xf>
    <xf numFmtId="0" fontId="0" fillId="3" borderId="16" xfId="0" applyFill="1" applyBorder="1" applyAlignment="1">
      <alignment horizontal="center" vertical="center"/>
    </xf>
    <xf numFmtId="0" fontId="0" fillId="2" borderId="17" xfId="0" applyFill="1" applyBorder="1" applyAlignment="1" applyProtection="1">
      <alignment horizontal="center" vertical="center"/>
      <protection locked="0"/>
    </xf>
    <xf numFmtId="0" fontId="0" fillId="3" borderId="33" xfId="0" applyFill="1" applyBorder="1" applyAlignment="1">
      <alignment horizontal="right"/>
    </xf>
    <xf numFmtId="0" fontId="0" fillId="3" borderId="35" xfId="0" applyFill="1" applyBorder="1" applyAlignment="1">
      <alignment horizontal="right"/>
    </xf>
    <xf numFmtId="0" fontId="0" fillId="3" borderId="37" xfId="0" applyFill="1" applyBorder="1" applyAlignment="1">
      <alignment horizontal="right"/>
    </xf>
    <xf numFmtId="0" fontId="2" fillId="4" borderId="48" xfId="0" applyFont="1" applyFill="1" applyBorder="1" applyAlignment="1">
      <alignment horizontal="right"/>
    </xf>
    <xf numFmtId="0" fontId="2" fillId="4" borderId="45" xfId="0" applyFont="1" applyFill="1" applyBorder="1" applyAlignment="1">
      <alignment horizontal="right"/>
    </xf>
    <xf numFmtId="0" fontId="2" fillId="4" borderId="46" xfId="0" applyFont="1" applyFill="1" applyBorder="1" applyAlignment="1">
      <alignment horizontal="right"/>
    </xf>
    <xf numFmtId="0" fontId="2" fillId="4" borderId="47" xfId="0" applyFont="1" applyFill="1" applyBorder="1" applyAlignment="1">
      <alignment horizontal="right"/>
    </xf>
    <xf numFmtId="0" fontId="4" fillId="3" borderId="46" xfId="0" applyFont="1" applyFill="1" applyBorder="1" applyAlignment="1">
      <alignment horizontal="right"/>
    </xf>
    <xf numFmtId="0" fontId="4" fillId="3" borderId="47" xfId="0" applyFont="1" applyFill="1" applyBorder="1" applyAlignment="1">
      <alignment horizontal="right"/>
    </xf>
    <xf numFmtId="0" fontId="4" fillId="3" borderId="49" xfId="0" applyFont="1" applyFill="1" applyBorder="1" applyAlignment="1">
      <alignment horizontal="right"/>
    </xf>
    <xf numFmtId="0" fontId="2" fillId="4" borderId="11" xfId="0" applyFont="1" applyFill="1" applyBorder="1" applyAlignment="1">
      <alignment horizontal="right"/>
    </xf>
    <xf numFmtId="0" fontId="0" fillId="5" borderId="18" xfId="0" applyFill="1" applyBorder="1" applyAlignment="1">
      <alignment horizontal="right"/>
    </xf>
    <xf numFmtId="0" fontId="0" fillId="5" borderId="19" xfId="0" applyFill="1" applyBorder="1" applyAlignment="1">
      <alignment horizontal="left"/>
    </xf>
    <xf numFmtId="0" fontId="1" fillId="5" borderId="21" xfId="0" applyFont="1" applyFill="1" applyBorder="1" applyAlignment="1">
      <alignment horizontal="right"/>
    </xf>
    <xf numFmtId="0" fontId="1" fillId="5" borderId="23" xfId="0" applyFont="1" applyFill="1" applyBorder="1" applyAlignment="1">
      <alignment horizontal="left"/>
    </xf>
    <xf numFmtId="0" fontId="0" fillId="7" borderId="18" xfId="0" applyFill="1" applyBorder="1" applyAlignment="1">
      <alignment horizontal="right"/>
    </xf>
    <xf numFmtId="0" fontId="1" fillId="7" borderId="21" xfId="0" applyFont="1" applyFill="1" applyBorder="1" applyAlignment="1">
      <alignment horizontal="right"/>
    </xf>
    <xf numFmtId="0" fontId="1" fillId="7" borderId="20" xfId="0" applyFont="1" applyFill="1" applyBorder="1" applyAlignment="1">
      <alignment horizontal="right"/>
    </xf>
    <xf numFmtId="0" fontId="0" fillId="7" borderId="9" xfId="0" applyFill="1" applyBorder="1" applyAlignment="1">
      <alignment horizontal="left"/>
    </xf>
    <xf numFmtId="0" fontId="1" fillId="7" borderId="1" xfId="0" applyFont="1" applyFill="1" applyBorder="1" applyAlignment="1">
      <alignment horizontal="left"/>
    </xf>
    <xf numFmtId="0" fontId="1" fillId="7" borderId="30" xfId="0" applyFont="1" applyFill="1" applyBorder="1" applyAlignment="1">
      <alignment horizontal="left"/>
    </xf>
    <xf numFmtId="10" fontId="0" fillId="2" borderId="10" xfId="0" applyNumberFormat="1" applyFill="1" applyBorder="1" applyAlignment="1" applyProtection="1">
      <alignment horizontal="center" vertical="center"/>
      <protection locked="0"/>
    </xf>
    <xf numFmtId="0" fontId="1" fillId="7" borderId="16" xfId="0" applyFont="1" applyFill="1" applyBorder="1" applyAlignment="1">
      <alignment horizontal="center"/>
    </xf>
    <xf numFmtId="0" fontId="1" fillId="7" borderId="6" xfId="0" applyFont="1" applyFill="1" applyBorder="1" applyAlignment="1">
      <alignment horizontal="center"/>
    </xf>
    <xf numFmtId="0" fontId="1" fillId="5" borderId="27" xfId="0" applyFont="1" applyFill="1" applyBorder="1" applyAlignment="1">
      <alignment horizontal="center"/>
    </xf>
    <xf numFmtId="0" fontId="1" fillId="5" borderId="28" xfId="0" applyFont="1" applyFill="1" applyBorder="1" applyAlignment="1">
      <alignment horizontal="center"/>
    </xf>
    <xf numFmtId="0" fontId="1" fillId="8" borderId="24" xfId="0" applyFont="1" applyFill="1" applyBorder="1" applyAlignment="1">
      <alignment horizontal="center" vertical="center"/>
    </xf>
    <xf numFmtId="0" fontId="1" fillId="8" borderId="25" xfId="0" applyFont="1" applyFill="1" applyBorder="1" applyAlignment="1">
      <alignment horizontal="center" vertical="center"/>
    </xf>
    <xf numFmtId="0" fontId="1" fillId="8" borderId="26"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26"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6" xfId="0" applyFont="1" applyFill="1" applyBorder="1" applyAlignment="1">
      <alignment horizontal="center" vertical="center"/>
    </xf>
    <xf numFmtId="0" fontId="1" fillId="4" borderId="44" xfId="0" applyFont="1" applyFill="1" applyBorder="1" applyAlignment="1">
      <alignment horizontal="center" vertical="center"/>
    </xf>
    <xf numFmtId="0" fontId="1" fillId="4" borderId="33"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43" xfId="0" applyFont="1" applyFill="1" applyBorder="1" applyAlignment="1">
      <alignment horizontal="center" vertical="center"/>
    </xf>
    <xf numFmtId="0" fontId="3" fillId="4" borderId="24" xfId="0" applyFont="1" applyFill="1" applyBorder="1" applyAlignment="1">
      <alignment horizontal="center"/>
    </xf>
    <xf numFmtId="0" fontId="3" fillId="4" borderId="25" xfId="0" applyFont="1" applyFill="1" applyBorder="1" applyAlignment="1">
      <alignment horizontal="center"/>
    </xf>
    <xf numFmtId="0" fontId="3" fillId="4" borderId="26" xfId="0" applyFont="1" applyFill="1" applyBorder="1" applyAlignment="1">
      <alignment horizontal="center"/>
    </xf>
    <xf numFmtId="0" fontId="0" fillId="3" borderId="0" xfId="0" applyFill="1" applyAlignment="1">
      <alignment horizontal="center"/>
    </xf>
    <xf numFmtId="0" fontId="0" fillId="3" borderId="34" xfId="0" applyFill="1" applyBorder="1" applyAlignment="1">
      <alignment horizontal="center"/>
    </xf>
    <xf numFmtId="0" fontId="1" fillId="3" borderId="2" xfId="0" applyFont="1" applyFill="1" applyBorder="1" applyAlignment="1">
      <alignment horizontal="center"/>
    </xf>
    <xf numFmtId="0" fontId="1" fillId="3" borderId="32" xfId="0" applyFont="1" applyFill="1" applyBorder="1" applyAlignment="1">
      <alignment horizontal="center"/>
    </xf>
    <xf numFmtId="0" fontId="1" fillId="3" borderId="31" xfId="0" applyFont="1" applyFill="1" applyBorder="1" applyAlignment="1">
      <alignment horizontal="center"/>
    </xf>
    <xf numFmtId="0" fontId="1" fillId="3" borderId="3" xfId="0" applyFont="1" applyFill="1" applyBorder="1" applyAlignment="1">
      <alignment horizontal="center"/>
    </xf>
    <xf numFmtId="0" fontId="2" fillId="4" borderId="24" xfId="0" applyFont="1" applyFill="1" applyBorder="1" applyAlignment="1">
      <alignment horizontal="center"/>
    </xf>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3" borderId="0" xfId="0" applyFont="1" applyFill="1" applyAlignment="1">
      <alignment horizontal="center"/>
    </xf>
    <xf numFmtId="0" fontId="2" fillId="3" borderId="5"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0" fillId="3" borderId="5" xfId="0" applyFill="1" applyBorder="1" applyAlignment="1">
      <alignment horizontal="center"/>
    </xf>
  </cellXfs>
  <cellStyles count="1">
    <cellStyle name="Normal" xfId="0" builtinId="0"/>
  </cellStyles>
  <dxfs count="1">
    <dxf>
      <font>
        <b/>
        <i val="0"/>
        <color rgb="FFFF0000"/>
      </font>
    </dxf>
  </dxfs>
  <tableStyles count="0" defaultTableStyle="TableStyleMedium2" defaultPivotStyle="PivotStyleLight16"/>
  <colors>
    <mruColors>
      <color rgb="FFB4C6E7"/>
      <color rgb="FFB4BEE7"/>
      <color rgb="FF8EA9DB"/>
      <color rgb="FFD9E1F2"/>
      <color rgb="FFD9C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63500</xdr:colOff>
      <xdr:row>13</xdr:row>
      <xdr:rowOff>133350</xdr:rowOff>
    </xdr:from>
    <xdr:to>
      <xdr:col>8</xdr:col>
      <xdr:colOff>393700</xdr:colOff>
      <xdr:row>33</xdr:row>
      <xdr:rowOff>158750</xdr:rowOff>
    </xdr:to>
    <xdr:sp macro="" textlink="">
      <xdr:nvSpPr>
        <xdr:cNvPr id="2" name="CuadroTexto 1">
          <a:extLst>
            <a:ext uri="{FF2B5EF4-FFF2-40B4-BE49-F238E27FC236}">
              <a16:creationId xmlns:a16="http://schemas.microsoft.com/office/drawing/2014/main" id="{57F331FD-3F86-D1BC-0578-07186CBFE9D7}"/>
            </a:ext>
          </a:extLst>
        </xdr:cNvPr>
        <xdr:cNvSpPr txBox="1"/>
      </xdr:nvSpPr>
      <xdr:spPr>
        <a:xfrm>
          <a:off x="63500" y="2609850"/>
          <a:ext cx="6426200" cy="383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Se trata de un calculador realizado exclusivamente para realizar refinamiento de aplicaciones manuales altas en frutales densos. Los datos a introducir en el calculador se encuentran en verde. Una vez introducidos, el calculador realiza los cálculos de la exposición potencial y con Equipos de Protección individual. Los equipos de protección individual pueden seleccionarse por medio de un desplegable, y son coincidentes con el calculador de la EFSA. </a:t>
          </a:r>
        </a:p>
        <a:p>
          <a:endParaRPr lang="es-ES" sz="1100"/>
        </a:p>
        <a:p>
          <a:r>
            <a:rPr lang="es-ES" sz="1100"/>
            <a:t>Los datos de mezcla/carga son coincidentes con los del calculador de la EFSA.</a:t>
          </a:r>
          <a:r>
            <a:rPr lang="es-ES" sz="1100" baseline="0"/>
            <a:t> Se han usado las fórmulas que se encuentran recogidas en el Anexo de la Guía de la EFSA 2022, tanto para mochila (regresión lineal), como para tanque lanza (regresión cuantílica).</a:t>
          </a:r>
        </a:p>
        <a:p>
          <a:endParaRPr lang="es-ES" sz="1100" baseline="0"/>
        </a:p>
        <a:p>
          <a:r>
            <a:rPr lang="es-ES" sz="1100" baseline="0"/>
            <a:t>Para aplicación se han usado las fórmulas recogidas en el Anexo de la Guía de la EFSA para todas las partes corporales, menos para el cuerpo. Para el cuerpo se han usado los percentiles 75 y 95 de los estudios HCHH2 y HCHH 3 del AOEM, que son los estudios realizados a pie en cultivos densos, y que se asemejan con los escenarios a refinar</a:t>
          </a:r>
        </a:p>
        <a:p>
          <a:endParaRPr lang="es-ES" sz="1100" baseline="0"/>
        </a:p>
        <a:p>
          <a:r>
            <a:rPr lang="es-ES" sz="1100" baseline="0"/>
            <a:t>Los datos usados para los percentiles 75 y 95 en las regresiones lineales (mezcla/carga de mochila y exposición del cuerpo en aplicación), se encuentran recogidos en la pestaña raw data. En la pestaña raw data 2 se han introducido las fórmulas recogidas en el Anexo de la Guía de la EFSA usadas para los percentiles 75 y 95 en refresiones cuantílicas.</a:t>
          </a:r>
        </a:p>
        <a:p>
          <a:endParaRPr lang="es-ES" sz="1100" baseline="0"/>
        </a:p>
        <a:p>
          <a:r>
            <a:rPr lang="es-ES" sz="1100" baseline="0"/>
            <a:t>En la pestaña llamada Small Tables se encuentran las listas usadas en los desplegables.</a:t>
          </a:r>
          <a:endParaRPr lang="es-E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127E42-37E7-491A-AFCB-83553E45CBE6}" name="Tabla1" displayName="Tabla1" ref="A3:B13" totalsRowShown="0">
  <autoFilter ref="A3:B13" xr:uid="{E1127E42-37E7-491A-AFCB-83553E45CBE6}"/>
  <tableColumns count="2">
    <tableColumn id="1" xr3:uid="{E730ABEA-51A5-45E2-9B5E-9475DBAD04B9}" name="Versión (fecha)"/>
    <tableColumn id="2" xr3:uid="{2F343467-CE39-4FA8-AEC3-01E3AD8FF1CE}" name="cambio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87743-29AC-434C-A83C-0218BD641AEB}">
  <dimension ref="A1:B4"/>
  <sheetViews>
    <sheetView workbookViewId="0">
      <selection activeCell="E6" sqref="E6"/>
    </sheetView>
  </sheetViews>
  <sheetFormatPr baseColWidth="10" defaultRowHeight="15" x14ac:dyDescent="0.25"/>
  <cols>
    <col min="1" max="1" width="32.5703125" customWidth="1"/>
    <col min="2" max="2" width="34.85546875" customWidth="1"/>
  </cols>
  <sheetData>
    <row r="1" spans="1:2" x14ac:dyDescent="0.25">
      <c r="A1" s="2"/>
    </row>
    <row r="3" spans="1:2" x14ac:dyDescent="0.25">
      <c r="A3" t="s">
        <v>69</v>
      </c>
      <c r="B3" t="s">
        <v>70</v>
      </c>
    </row>
    <row r="4" spans="1:2" x14ac:dyDescent="0.25">
      <c r="A4" s="3">
        <v>45717</v>
      </c>
      <c r="B4" t="s">
        <v>71</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F9EC4-BF65-4E6B-8FB9-55321CEC2762}">
  <dimension ref="B1:O41"/>
  <sheetViews>
    <sheetView tabSelected="1" zoomScale="115" zoomScaleNormal="115" workbookViewId="0">
      <selection activeCell="C9" sqref="C9"/>
    </sheetView>
  </sheetViews>
  <sheetFormatPr baseColWidth="10" defaultRowHeight="15" x14ac:dyDescent="0.25"/>
  <cols>
    <col min="1" max="1" width="2.140625" customWidth="1"/>
    <col min="2" max="2" width="26.85546875" bestFit="1" customWidth="1"/>
    <col min="3" max="3" width="17" bestFit="1" customWidth="1"/>
    <col min="4" max="5" width="13.42578125" bestFit="1" customWidth="1"/>
    <col min="6" max="6" width="23" bestFit="1" customWidth="1"/>
    <col min="7" max="7" width="16.85546875" customWidth="1"/>
    <col min="8" max="8" width="15.140625" bestFit="1" customWidth="1"/>
    <col min="9" max="9" width="12" bestFit="1" customWidth="1"/>
    <col min="10" max="10" width="19.140625" bestFit="1" customWidth="1"/>
    <col min="11" max="12" width="12.140625" bestFit="1" customWidth="1"/>
    <col min="13" max="13" width="17" bestFit="1" customWidth="1"/>
    <col min="14" max="14" width="11.85546875" bestFit="1" customWidth="1"/>
    <col min="15" max="15" width="12" bestFit="1" customWidth="1"/>
  </cols>
  <sheetData>
    <row r="1" spans="2:15" ht="6" customHeight="1" thickBot="1" x14ac:dyDescent="0.3"/>
    <row r="2" spans="2:15" ht="15.75" thickBot="1" x14ac:dyDescent="0.3">
      <c r="B2" s="71" t="s">
        <v>72</v>
      </c>
      <c r="C2" s="72"/>
      <c r="D2" s="73"/>
      <c r="F2" s="74" t="s">
        <v>74</v>
      </c>
      <c r="G2" s="75"/>
      <c r="H2" s="76"/>
      <c r="J2" s="83" t="s">
        <v>78</v>
      </c>
      <c r="K2" s="84"/>
      <c r="L2" s="84"/>
      <c r="M2" s="84"/>
      <c r="N2" s="84"/>
      <c r="O2" s="85"/>
    </row>
    <row r="3" spans="2:15" ht="15.75" thickBot="1" x14ac:dyDescent="0.3">
      <c r="B3" s="37" t="s">
        <v>12</v>
      </c>
      <c r="C3" s="23" t="s">
        <v>66</v>
      </c>
      <c r="D3" s="24"/>
      <c r="F3" s="80" t="s">
        <v>38</v>
      </c>
      <c r="G3" s="29" t="s">
        <v>75</v>
      </c>
      <c r="H3" s="30" t="s">
        <v>76</v>
      </c>
      <c r="J3" s="92" t="s">
        <v>9</v>
      </c>
      <c r="K3" s="93"/>
      <c r="L3" s="94"/>
      <c r="M3" s="92" t="s">
        <v>19</v>
      </c>
      <c r="N3" s="93"/>
      <c r="O3" s="94"/>
    </row>
    <row r="4" spans="2:15" ht="15.75" thickBot="1" x14ac:dyDescent="0.3">
      <c r="B4" s="33" t="s">
        <v>13</v>
      </c>
      <c r="C4" s="25" t="s">
        <v>67</v>
      </c>
      <c r="D4" s="26"/>
      <c r="F4" s="81"/>
      <c r="G4" s="31" t="s">
        <v>0</v>
      </c>
      <c r="H4" s="32" t="s">
        <v>46</v>
      </c>
      <c r="J4" s="42"/>
      <c r="K4" s="49" t="s">
        <v>7</v>
      </c>
      <c r="L4" s="49" t="s">
        <v>8</v>
      </c>
      <c r="M4" s="42"/>
      <c r="N4" s="49" t="s">
        <v>7</v>
      </c>
      <c r="O4" s="49" t="s">
        <v>8</v>
      </c>
    </row>
    <row r="5" spans="2:15" x14ac:dyDescent="0.25">
      <c r="B5" s="33" t="s">
        <v>34</v>
      </c>
      <c r="C5" s="25" t="s">
        <v>37</v>
      </c>
      <c r="D5" s="26"/>
      <c r="F5" s="81"/>
      <c r="G5" s="33" t="s">
        <v>3</v>
      </c>
      <c r="H5" s="34" t="s">
        <v>53</v>
      </c>
      <c r="J5" s="43" t="s">
        <v>0</v>
      </c>
      <c r="K5" s="48">
        <f>IF(C11='Small Tables'!A2,'Raw data'!B5,IF(Calculador!C5='Small Tables'!B2,'Raw data 2'!B3,IF(C5='Small Tables'!B3,'Raw data 2'!B11,'Raw data 2'!B19)))</f>
        <v>9497</v>
      </c>
      <c r="L5" s="48">
        <f>IF(C11='Small Tables'!A2,'Raw data'!B12,IF(Calculador!C5='Small Tables'!B2,'Raw data 2'!C3,IF(C5='Small Tables'!B3,'Raw data 2'!C11,'Raw data 2'!C19)))</f>
        <v>25490</v>
      </c>
      <c r="M5" s="43" t="s">
        <v>0</v>
      </c>
      <c r="N5" s="48">
        <f>(10^4.26)*(C12^0.84)</f>
        <v>24140.571648363799</v>
      </c>
      <c r="O5" s="48">
        <f>(C12^0.77)*(10^4.41)</f>
        <v>33305.701658973041</v>
      </c>
    </row>
    <row r="6" spans="2:15" x14ac:dyDescent="0.25">
      <c r="B6" s="33" t="s">
        <v>14</v>
      </c>
      <c r="C6" s="25">
        <v>0.02</v>
      </c>
      <c r="D6" s="26" t="s">
        <v>61</v>
      </c>
      <c r="F6" s="81"/>
      <c r="G6" s="33" t="s">
        <v>5</v>
      </c>
      <c r="H6" s="34" t="s">
        <v>50</v>
      </c>
      <c r="J6" s="44" t="s">
        <v>2</v>
      </c>
      <c r="K6" s="46">
        <f>IF(C11='Small Tables'!A2,'Raw data'!B6,IF(Calculador!C5='Small Tables'!B2,'Raw data 2'!B4,IF(C5='Small Tables'!B3,'Raw data 2'!B12,'Raw data 2'!B20)))</f>
        <v>21</v>
      </c>
      <c r="L6" s="46">
        <f>IF(C11='Small Tables'!A2,'Raw data'!B13,IF(Calculador!C5='Small Tables'!B2,'Raw data 2'!C4,IF(C5='Small Tables'!B3,'Raw data 2'!C12,'Raw data 2'!C20)))</f>
        <v>164</v>
      </c>
      <c r="M6" s="44" t="s">
        <v>2</v>
      </c>
      <c r="N6" s="46">
        <f>C12*(10^2.26)</f>
        <v>254.7581202053976</v>
      </c>
      <c r="O6" s="46">
        <f>C12*(10^2.61)</f>
        <v>570.33238892575775</v>
      </c>
    </row>
    <row r="7" spans="2:15" ht="15.75" thickBot="1" x14ac:dyDescent="0.3">
      <c r="B7" s="33" t="s">
        <v>15</v>
      </c>
      <c r="C7" s="25">
        <v>0.02</v>
      </c>
      <c r="D7" s="26" t="s">
        <v>61</v>
      </c>
      <c r="F7" s="82"/>
      <c r="G7" s="35" t="s">
        <v>6</v>
      </c>
      <c r="H7" s="36" t="s">
        <v>47</v>
      </c>
      <c r="J7" s="44" t="s">
        <v>3</v>
      </c>
      <c r="K7" s="46">
        <f>IF(C11='Small Tables'!A2,'Raw data'!B7,IF(Calculador!C5='Small Tables'!B2,'Raw data 2'!B5,IF(C5='Small Tables'!B3,'Raw data 2'!B13,'Raw data 2'!B21)))</f>
        <v>803</v>
      </c>
      <c r="L7" s="46">
        <f>IF(C11='Small Tables'!A2,'Raw data'!B14,IF(Calculador!C5='Small Tables'!B2,'Raw data 2'!C4,IF(C5='Small Tables'!B3,'Raw data 2'!C12,'Raw data 2'!C20)))</f>
        <v>2787</v>
      </c>
      <c r="M7" s="44" t="s">
        <v>3</v>
      </c>
      <c r="N7" s="46">
        <f>PRODUCT('Raw data'!B2,C12)</f>
        <v>572782.29399999999</v>
      </c>
      <c r="O7" s="46">
        <f>PRODUCT('Raw data'!B3,C12)</f>
        <v>889866.34799999988</v>
      </c>
    </row>
    <row r="8" spans="2:15" ht="15.75" thickBot="1" x14ac:dyDescent="0.3">
      <c r="B8" s="33" t="s">
        <v>10</v>
      </c>
      <c r="C8" s="60">
        <v>0.03</v>
      </c>
      <c r="D8" s="26" t="s">
        <v>73</v>
      </c>
      <c r="F8" s="77" t="s">
        <v>19</v>
      </c>
      <c r="G8" s="29" t="s">
        <v>75</v>
      </c>
      <c r="H8" s="30" t="s">
        <v>76</v>
      </c>
      <c r="J8" s="44" t="s">
        <v>4</v>
      </c>
      <c r="K8" s="46">
        <f>IF(C11='Small Tables'!A2,'Raw data'!B8,IF(Calculador!C5='Small Tables'!B2,'Raw data 2'!B6,IF(C5='Small Tables'!B3,'Raw data 2'!B14,'Raw data 2'!B22)))</f>
        <v>25</v>
      </c>
      <c r="L8" s="46">
        <f>IF(C11='Small Tables'!A2,'Raw data'!B15,IF(Calculador!C5='Small Tables'!B2,'Raw data 2'!C6,IF(C5='Small Tables'!B3,'Raw data 2'!C14,'Raw data 2'!C22)))</f>
        <v>103</v>
      </c>
      <c r="M8" s="44" t="s">
        <v>4</v>
      </c>
      <c r="N8" s="46">
        <f>N7*(10/100)</f>
        <v>57278.229400000004</v>
      </c>
      <c r="O8" s="46">
        <f>O7*(10/100)</f>
        <v>88986.6348</v>
      </c>
    </row>
    <row r="9" spans="2:15" x14ac:dyDescent="0.25">
      <c r="B9" s="33" t="s">
        <v>11</v>
      </c>
      <c r="C9" s="60">
        <v>1</v>
      </c>
      <c r="D9" s="26" t="s">
        <v>73</v>
      </c>
      <c r="F9" s="78"/>
      <c r="G9" s="31" t="s">
        <v>0</v>
      </c>
      <c r="H9" s="38" t="s">
        <v>46</v>
      </c>
      <c r="J9" s="44" t="s">
        <v>5</v>
      </c>
      <c r="K9" s="46">
        <f>IF(C11='Small Tables'!A2,'Raw data'!B9,IF(Calculador!C5='Small Tables'!B2,'Raw data 2'!B7,IF(C5='Small Tables'!B3,'Raw data 2'!B15,'Raw data 2'!B23)))</f>
        <v>5.5</v>
      </c>
      <c r="L9" s="46">
        <f>IF(C11='Small Tables'!A2,'Raw data'!B16,IF(Calculador!C5='Small Tables'!B2,'Raw data 2'!C7,IF(C5='Small Tables'!B3,'Raw data 2'!C15,'Raw data 2'!C23)))</f>
        <v>11</v>
      </c>
      <c r="M9" s="44" t="s">
        <v>5</v>
      </c>
      <c r="N9" s="46">
        <f>(C12^0.32)*(10^3.27)</f>
        <v>2073.7718331867295</v>
      </c>
      <c r="O9" s="46">
        <f>(C12^0.33)*10^3.5</f>
        <v>3533.639588138481</v>
      </c>
    </row>
    <row r="10" spans="2:15" ht="15.75" thickBot="1" x14ac:dyDescent="0.3">
      <c r="B10" s="33" t="s">
        <v>80</v>
      </c>
      <c r="C10" s="60">
        <v>1</v>
      </c>
      <c r="D10" s="26" t="s">
        <v>73</v>
      </c>
      <c r="F10" s="78"/>
      <c r="G10" s="33" t="s">
        <v>3</v>
      </c>
      <c r="H10" s="34" t="s">
        <v>53</v>
      </c>
      <c r="J10" s="44" t="s">
        <v>44</v>
      </c>
      <c r="K10" s="46">
        <f>K9*0.5</f>
        <v>2.75</v>
      </c>
      <c r="L10" s="46">
        <f>L9*0.5</f>
        <v>5.5</v>
      </c>
      <c r="M10" s="45" t="s">
        <v>6</v>
      </c>
      <c r="N10" s="47">
        <f>(C12^0.83)*(10^2.17)</f>
        <v>195.56281031169991</v>
      </c>
      <c r="O10" s="47">
        <f>(C12^0.6)*(10^2.52)</f>
        <v>405.20689005636166</v>
      </c>
    </row>
    <row r="11" spans="2:15" x14ac:dyDescent="0.25">
      <c r="B11" s="33" t="s">
        <v>16</v>
      </c>
      <c r="C11" s="25" t="s">
        <v>33</v>
      </c>
      <c r="D11" s="26"/>
      <c r="F11" s="78"/>
      <c r="G11" s="33" t="s">
        <v>5</v>
      </c>
      <c r="H11" s="34" t="s">
        <v>46</v>
      </c>
      <c r="J11" s="44" t="s">
        <v>28</v>
      </c>
      <c r="K11" s="46">
        <f>IF(C11='Small Tables'!A2,'Raw data'!B9,IF(Calculador!C5='Small Tables'!B2,'Raw data 2'!B8,IF(C5='Small Tables'!B3,'Raw data 2'!B16,'Raw data 2'!B24)))</f>
        <v>5.5</v>
      </c>
      <c r="L11" s="46">
        <f>IF(C11='Small Tables'!A2,'Raw data'!B16,IF(Calculador!C5='Small Tables'!B2,'Raw data 2'!C8,IF(C5='Small Tables'!B3,'Raw data 2'!C16,'Raw data 2'!C24)))</f>
        <v>11</v>
      </c>
      <c r="M11" s="95"/>
      <c r="N11" s="95"/>
      <c r="O11" s="96"/>
    </row>
    <row r="12" spans="2:15" ht="15.75" thickBot="1" x14ac:dyDescent="0.3">
      <c r="B12" s="35" t="s">
        <v>1</v>
      </c>
      <c r="C12" s="27">
        <v>1.4</v>
      </c>
      <c r="D12" s="28" t="s">
        <v>65</v>
      </c>
      <c r="F12" s="79"/>
      <c r="G12" s="35" t="s">
        <v>6</v>
      </c>
      <c r="H12" s="36" t="s">
        <v>47</v>
      </c>
      <c r="J12" s="45" t="s">
        <v>6</v>
      </c>
      <c r="K12" s="47">
        <f>IF(C11='Small Tables'!A2,'Raw data'!B10,IF(Calculador!C5='Small Tables'!B2,'Raw data 2'!B9,IF(C5='Small Tables'!B3,'Raw data 2'!B17,'Raw data 2'!B25)))</f>
        <v>35</v>
      </c>
      <c r="L12" s="47">
        <f>IF(C11='Small Tables'!A2,'Raw data'!B17,IF(Calculador!C5='Small Tables'!B2,'Raw data 2'!C9,IF(C5='Small Tables'!B3,'Raw data 2'!C17,'Raw data 2'!C25)))</f>
        <v>36</v>
      </c>
      <c r="M12" s="97"/>
      <c r="N12" s="97"/>
      <c r="O12" s="98"/>
    </row>
    <row r="13" spans="2:15" ht="15.75" thickBot="1" x14ac:dyDescent="0.3">
      <c r="C13" s="5"/>
    </row>
    <row r="14" spans="2:15" ht="15.75" thickBot="1" x14ac:dyDescent="0.3">
      <c r="B14" s="74" t="s">
        <v>77</v>
      </c>
      <c r="C14" s="75"/>
      <c r="D14" s="75"/>
      <c r="E14" s="75"/>
      <c r="F14" s="75"/>
      <c r="G14" s="75"/>
      <c r="H14" s="75"/>
      <c r="I14" s="75"/>
      <c r="J14" s="75"/>
      <c r="K14" s="75"/>
      <c r="L14" s="76"/>
    </row>
    <row r="15" spans="2:15" x14ac:dyDescent="0.25">
      <c r="B15" s="90" t="s">
        <v>39</v>
      </c>
      <c r="C15" s="88"/>
      <c r="D15" s="88"/>
      <c r="E15" s="88"/>
      <c r="F15" s="91"/>
      <c r="G15" s="13"/>
      <c r="H15" s="6"/>
      <c r="I15" s="88" t="s">
        <v>58</v>
      </c>
      <c r="J15" s="88"/>
      <c r="K15" s="88"/>
      <c r="L15" s="89"/>
    </row>
    <row r="16" spans="2:15" x14ac:dyDescent="0.25">
      <c r="B16" s="14" t="s">
        <v>38</v>
      </c>
      <c r="C16" s="86" t="s">
        <v>43</v>
      </c>
      <c r="D16" s="86"/>
      <c r="E16" s="86" t="s">
        <v>57</v>
      </c>
      <c r="F16" s="99"/>
      <c r="G16" s="15"/>
      <c r="H16" s="7" t="s">
        <v>9</v>
      </c>
      <c r="I16" s="86" t="s">
        <v>43</v>
      </c>
      <c r="J16" s="86"/>
      <c r="K16" s="86" t="s">
        <v>57</v>
      </c>
      <c r="L16" s="87"/>
    </row>
    <row r="17" spans="2:12" x14ac:dyDescent="0.25">
      <c r="B17" s="16"/>
      <c r="C17" s="4" t="s">
        <v>40</v>
      </c>
      <c r="D17" s="4" t="s">
        <v>41</v>
      </c>
      <c r="E17" s="4" t="s">
        <v>40</v>
      </c>
      <c r="F17" s="9" t="s">
        <v>41</v>
      </c>
      <c r="G17" s="4"/>
      <c r="H17" s="8"/>
      <c r="I17" s="4" t="s">
        <v>40</v>
      </c>
      <c r="J17" s="4" t="s">
        <v>41</v>
      </c>
      <c r="K17" s="4" t="s">
        <v>40</v>
      </c>
      <c r="L17" s="17" t="s">
        <v>41</v>
      </c>
    </row>
    <row r="18" spans="2:12" x14ac:dyDescent="0.25">
      <c r="B18" s="39" t="s">
        <v>0</v>
      </c>
      <c r="C18" s="4">
        <f>K5*C8</f>
        <v>284.90999999999997</v>
      </c>
      <c r="D18" s="4">
        <f>IF(H4="Guantes",K6*C8,C18)</f>
        <v>284.90999999999997</v>
      </c>
      <c r="E18" s="4">
        <f>C18/60</f>
        <v>4.7484999999999991</v>
      </c>
      <c r="F18" s="9">
        <f>D18/60</f>
        <v>4.7484999999999991</v>
      </c>
      <c r="G18" s="4"/>
      <c r="H18" s="8" t="s">
        <v>0</v>
      </c>
      <c r="I18" s="4">
        <f>L5*C8</f>
        <v>764.69999999999993</v>
      </c>
      <c r="J18" s="4">
        <f>IF(H4="Guantes",L6*C8,I18)</f>
        <v>764.69999999999993</v>
      </c>
      <c r="K18" s="4">
        <f>I18/60</f>
        <v>12.744999999999999</v>
      </c>
      <c r="L18" s="17">
        <f>J18/60</f>
        <v>12.744999999999999</v>
      </c>
    </row>
    <row r="19" spans="2:12" x14ac:dyDescent="0.25">
      <c r="B19" s="39" t="s">
        <v>3</v>
      </c>
      <c r="C19" s="4">
        <f>K7*C8</f>
        <v>24.09</v>
      </c>
      <c r="D19" s="4">
        <f>IF(H5="C1 o tipo 6",K8*C8,C19)</f>
        <v>0.75</v>
      </c>
      <c r="E19" s="4">
        <f t="shared" ref="E19:E22" si="0">C19/60</f>
        <v>0.40150000000000002</v>
      </c>
      <c r="F19" s="9">
        <f t="shared" ref="F19:F22" si="1">D19/60</f>
        <v>1.2500000000000001E-2</v>
      </c>
      <c r="G19" s="4"/>
      <c r="H19" s="8" t="s">
        <v>3</v>
      </c>
      <c r="I19" s="4">
        <f>L7*C8</f>
        <v>83.61</v>
      </c>
      <c r="J19" s="4">
        <f>IF(H5="C1 o tipo 6",L8*C8,I19)</f>
        <v>3.09</v>
      </c>
      <c r="K19" s="4">
        <f t="shared" ref="K19:K22" si="2">I19/60</f>
        <v>1.3935</v>
      </c>
      <c r="L19" s="17">
        <f t="shared" ref="L19:L22" si="3">J19/60</f>
        <v>5.1499999999999997E-2</v>
      </c>
    </row>
    <row r="20" spans="2:12" x14ac:dyDescent="0.25">
      <c r="B20" s="39" t="s">
        <v>5</v>
      </c>
      <c r="C20" s="4">
        <f>K9*C8</f>
        <v>0.16499999999999998</v>
      </c>
      <c r="D20" s="4">
        <f>IF(H6="Gafas",C20*0.5,IF(H6="Pantalla",K11*C8,C20))</f>
        <v>8.249999999999999E-2</v>
      </c>
      <c r="E20" s="4">
        <f t="shared" si="0"/>
        <v>2.7499999999999998E-3</v>
      </c>
      <c r="F20" s="9">
        <f t="shared" si="1"/>
        <v>1.3749999999999999E-3</v>
      </c>
      <c r="G20" s="4"/>
      <c r="H20" s="8" t="s">
        <v>5</v>
      </c>
      <c r="I20" s="4">
        <f>L9*C8</f>
        <v>0.32999999999999996</v>
      </c>
      <c r="J20" s="4">
        <f>IF(H6="Gafas",I20/2,IF(H6="Pantalla",L11*C8,I20))</f>
        <v>0.16499999999999998</v>
      </c>
      <c r="K20" s="4">
        <f t="shared" si="2"/>
        <v>5.4999999999999997E-3</v>
      </c>
      <c r="L20" s="17">
        <f t="shared" si="3"/>
        <v>2.7499999999999998E-3</v>
      </c>
    </row>
    <row r="21" spans="2:12" x14ac:dyDescent="0.25">
      <c r="B21" s="39" t="s">
        <v>6</v>
      </c>
      <c r="C21" s="4">
        <f>K12*C10</f>
        <v>35</v>
      </c>
      <c r="D21" s="4">
        <f>IF(H7="FP1, P1 o similar",C21*0.25,IF(H7="FP2, P2 o similar",C21*0.1,C21))</f>
        <v>8.75</v>
      </c>
      <c r="E21" s="4">
        <f t="shared" si="0"/>
        <v>0.58333333333333337</v>
      </c>
      <c r="F21" s="9">
        <f t="shared" si="1"/>
        <v>0.14583333333333334</v>
      </c>
      <c r="G21" s="4"/>
      <c r="H21" s="8" t="s">
        <v>6</v>
      </c>
      <c r="I21" s="4">
        <f>L12*C10</f>
        <v>36</v>
      </c>
      <c r="J21" s="4">
        <f>IF(H7="FP1, P1 o similar",I21*0.25,IF(H7="FP2, P2 o similar",I21*0.1,C21))</f>
        <v>9</v>
      </c>
      <c r="K21" s="4">
        <f t="shared" si="2"/>
        <v>0.6</v>
      </c>
      <c r="L21" s="17">
        <f t="shared" si="3"/>
        <v>0.15</v>
      </c>
    </row>
    <row r="22" spans="2:12" x14ac:dyDescent="0.25">
      <c r="B22" s="40" t="s">
        <v>42</v>
      </c>
      <c r="C22" s="11">
        <f>SUM(C18:C21)</f>
        <v>344.16499999999996</v>
      </c>
      <c r="D22" s="11">
        <f>SUM(D18:D21)</f>
        <v>294.49249999999995</v>
      </c>
      <c r="E22" s="11">
        <f t="shared" si="0"/>
        <v>5.7360833333333323</v>
      </c>
      <c r="F22" s="12">
        <f t="shared" si="1"/>
        <v>4.9082083333333326</v>
      </c>
      <c r="G22" s="4"/>
      <c r="H22" s="10" t="s">
        <v>42</v>
      </c>
      <c r="I22" s="11">
        <f>SUM(I18:I21)</f>
        <v>884.64</v>
      </c>
      <c r="J22" s="11">
        <f>SUM(J18:J21)</f>
        <v>776.95499999999993</v>
      </c>
      <c r="K22" s="11">
        <f t="shared" si="2"/>
        <v>14.744</v>
      </c>
      <c r="L22" s="18">
        <f t="shared" si="3"/>
        <v>12.949249999999999</v>
      </c>
    </row>
    <row r="23" spans="2:12" x14ac:dyDescent="0.25">
      <c r="B23" s="16"/>
      <c r="C23" s="4"/>
      <c r="D23" s="4"/>
      <c r="E23" s="4"/>
      <c r="F23" s="4"/>
      <c r="G23" s="4"/>
      <c r="H23" s="4"/>
      <c r="I23" s="4"/>
      <c r="J23" s="4"/>
      <c r="K23" s="4"/>
      <c r="L23" s="17"/>
    </row>
    <row r="24" spans="2:12" x14ac:dyDescent="0.25">
      <c r="B24" s="90" t="s">
        <v>39</v>
      </c>
      <c r="C24" s="88"/>
      <c r="D24" s="88"/>
      <c r="E24" s="88"/>
      <c r="F24" s="91"/>
      <c r="G24" s="13"/>
      <c r="H24" s="6"/>
      <c r="I24" s="88" t="s">
        <v>58</v>
      </c>
      <c r="J24" s="88"/>
      <c r="K24" s="88"/>
      <c r="L24" s="89"/>
    </row>
    <row r="25" spans="2:12" x14ac:dyDescent="0.25">
      <c r="B25" s="14" t="s">
        <v>19</v>
      </c>
      <c r="C25" s="86" t="s">
        <v>43</v>
      </c>
      <c r="D25" s="86"/>
      <c r="E25" s="86" t="s">
        <v>57</v>
      </c>
      <c r="F25" s="99"/>
      <c r="G25" s="15"/>
      <c r="H25" s="7" t="s">
        <v>19</v>
      </c>
      <c r="I25" s="86" t="s">
        <v>43</v>
      </c>
      <c r="J25" s="86"/>
      <c r="K25" s="86" t="s">
        <v>57</v>
      </c>
      <c r="L25" s="87"/>
    </row>
    <row r="26" spans="2:12" x14ac:dyDescent="0.25">
      <c r="B26" s="16"/>
      <c r="C26" s="4" t="s">
        <v>40</v>
      </c>
      <c r="D26" s="4" t="s">
        <v>41</v>
      </c>
      <c r="E26" s="4" t="s">
        <v>40</v>
      </c>
      <c r="F26" s="9" t="s">
        <v>41</v>
      </c>
      <c r="G26" s="4"/>
      <c r="H26" s="8"/>
      <c r="I26" s="4" t="s">
        <v>40</v>
      </c>
      <c r="J26" s="4" t="s">
        <v>41</v>
      </c>
      <c r="K26" s="4" t="s">
        <v>40</v>
      </c>
      <c r="L26" s="17" t="s">
        <v>41</v>
      </c>
    </row>
    <row r="27" spans="2:12" x14ac:dyDescent="0.25">
      <c r="B27" s="39" t="s">
        <v>0</v>
      </c>
      <c r="C27" s="4">
        <f>N5*C9</f>
        <v>24140.571648363799</v>
      </c>
      <c r="D27" s="4">
        <f>IF(H9="Guantes",N6*C9,C27)</f>
        <v>24140.571648363799</v>
      </c>
      <c r="E27" s="4">
        <f>C27/60</f>
        <v>402.3428608060633</v>
      </c>
      <c r="F27" s="9">
        <f>D27/60</f>
        <v>402.3428608060633</v>
      </c>
      <c r="G27" s="4"/>
      <c r="H27" s="8" t="s">
        <v>0</v>
      </c>
      <c r="I27" s="4">
        <f>O5*C9</f>
        <v>33305.701658973041</v>
      </c>
      <c r="J27" s="4">
        <f>IF(H9="Guantes",O6*C9,I27)</f>
        <v>33305.701658973041</v>
      </c>
      <c r="K27" s="4">
        <f>I27/60</f>
        <v>555.09502764955073</v>
      </c>
      <c r="L27" s="17">
        <f>J27/60</f>
        <v>555.09502764955073</v>
      </c>
    </row>
    <row r="28" spans="2:12" x14ac:dyDescent="0.25">
      <c r="B28" s="39" t="s">
        <v>3</v>
      </c>
      <c r="C28" s="4">
        <f>N7*C9</f>
        <v>572782.29399999999</v>
      </c>
      <c r="D28" s="4">
        <f>IF(H10="C1 o tipo 6",N8*C9,IF(H10="C3 o tipo 3",C28*0.05,C28))</f>
        <v>57278.229400000004</v>
      </c>
      <c r="E28" s="4">
        <f t="shared" ref="E28:E31" si="4">C28/60</f>
        <v>9546.3715666666667</v>
      </c>
      <c r="F28" s="9">
        <f t="shared" ref="F28:F31" si="5">D28/60</f>
        <v>954.63715666666678</v>
      </c>
      <c r="G28" s="4"/>
      <c r="H28" s="8" t="s">
        <v>3</v>
      </c>
      <c r="I28" s="4">
        <f>O7*C9</f>
        <v>889866.34799999988</v>
      </c>
      <c r="J28" s="4">
        <f>IF(H10="C1 o tipo 6",O8*C9,IF(H10="C3 o tipo 3",I28*0.05,I28))</f>
        <v>88986.6348</v>
      </c>
      <c r="K28" s="4">
        <f t="shared" ref="K28:K31" si="6">I28/60</f>
        <v>14831.105799999998</v>
      </c>
      <c r="L28" s="17">
        <f t="shared" ref="L28:L31" si="7">J28/60</f>
        <v>1483.11058</v>
      </c>
    </row>
    <row r="29" spans="2:12" x14ac:dyDescent="0.25">
      <c r="B29" s="39" t="s">
        <v>5</v>
      </c>
      <c r="C29" s="4">
        <f>N9*C9</f>
        <v>2073.7718331867295</v>
      </c>
      <c r="D29" s="4">
        <f>IF(H11="Gafas",C29*0.5,IF(H11="Pantalla",C29*0.05,C29))</f>
        <v>2073.7718331867295</v>
      </c>
      <c r="E29" s="4">
        <f t="shared" si="4"/>
        <v>34.562863886445491</v>
      </c>
      <c r="F29" s="9">
        <f t="shared" si="5"/>
        <v>34.562863886445491</v>
      </c>
      <c r="G29" s="4"/>
      <c r="H29" s="8" t="s">
        <v>5</v>
      </c>
      <c r="I29" s="4">
        <f>O9*C9</f>
        <v>3533.639588138481</v>
      </c>
      <c r="J29" s="4">
        <f>IF(H11="Gafas",I29*0.5,IF(H11="Pantalla",I29*0.05,I29))</f>
        <v>3533.639588138481</v>
      </c>
      <c r="K29" s="4">
        <f t="shared" si="6"/>
        <v>58.893993135641352</v>
      </c>
      <c r="L29" s="17">
        <f t="shared" si="7"/>
        <v>58.893993135641352</v>
      </c>
    </row>
    <row r="30" spans="2:12" x14ac:dyDescent="0.25">
      <c r="B30" s="39" t="s">
        <v>6</v>
      </c>
      <c r="C30" s="4">
        <f>N10*C10</f>
        <v>195.56281031169991</v>
      </c>
      <c r="D30" s="4">
        <f>IF(H12="FP1, P1 o similar",C30*0.25,IF(H12="FP2, P2 o similar",C30*0.1,C30))</f>
        <v>48.890702577924976</v>
      </c>
      <c r="E30" s="4">
        <f t="shared" si="4"/>
        <v>3.2593801718616651</v>
      </c>
      <c r="F30" s="9">
        <f t="shared" si="5"/>
        <v>0.81484504296541627</v>
      </c>
      <c r="G30" s="4"/>
      <c r="H30" s="8" t="s">
        <v>6</v>
      </c>
      <c r="I30" s="4">
        <f>O10*C10</f>
        <v>405.20689005636166</v>
      </c>
      <c r="J30" s="4">
        <f>IF(H12="FP1, P1 o similar",I30*0.25,IF(H12="FP2, P2 o similar",I30*0.1,I30))</f>
        <v>101.30172251409041</v>
      </c>
      <c r="K30" s="4">
        <f t="shared" si="6"/>
        <v>6.7534481676060274</v>
      </c>
      <c r="L30" s="17">
        <f t="shared" si="7"/>
        <v>1.6883620419015068</v>
      </c>
    </row>
    <row r="31" spans="2:12" ht="15.75" thickBot="1" x14ac:dyDescent="0.3">
      <c r="B31" s="41" t="s">
        <v>42</v>
      </c>
      <c r="C31" s="19">
        <f>SUM(C27:C30)</f>
        <v>599192.20029186225</v>
      </c>
      <c r="D31" s="19">
        <f>SUM(D27:D30)</f>
        <v>83541.463584128462</v>
      </c>
      <c r="E31" s="19">
        <f t="shared" si="4"/>
        <v>9986.5366715310374</v>
      </c>
      <c r="F31" s="20">
        <f t="shared" si="5"/>
        <v>1392.357726402141</v>
      </c>
      <c r="G31" s="19"/>
      <c r="H31" s="21" t="s">
        <v>42</v>
      </c>
      <c r="I31" s="19">
        <f>SUM(I27:I30)</f>
        <v>927110.8961371677</v>
      </c>
      <c r="J31" s="19">
        <f>SUM(J27:J30)</f>
        <v>125927.27776962561</v>
      </c>
      <c r="K31" s="19">
        <f t="shared" si="6"/>
        <v>15451.848268952795</v>
      </c>
      <c r="L31" s="22">
        <f t="shared" si="7"/>
        <v>2098.7879628270935</v>
      </c>
    </row>
    <row r="32" spans="2:12" ht="15.75" thickBot="1" x14ac:dyDescent="0.3"/>
    <row r="33" spans="2:5" ht="15.75" thickBot="1" x14ac:dyDescent="0.3">
      <c r="B33" s="68" t="s">
        <v>79</v>
      </c>
      <c r="C33" s="69"/>
      <c r="D33" s="69"/>
      <c r="E33" s="70"/>
    </row>
    <row r="34" spans="2:5" ht="21.95" customHeight="1" thickBot="1" x14ac:dyDescent="0.3">
      <c r="B34" s="65" t="s">
        <v>60</v>
      </c>
      <c r="C34" s="66"/>
      <c r="D34" s="66"/>
      <c r="E34" s="67"/>
    </row>
    <row r="35" spans="2:5" x14ac:dyDescent="0.25">
      <c r="B35" s="61" t="s">
        <v>59</v>
      </c>
      <c r="C35" s="62"/>
      <c r="D35" s="63" t="s">
        <v>41</v>
      </c>
      <c r="E35" s="64"/>
    </row>
    <row r="36" spans="2:5" x14ac:dyDescent="0.25">
      <c r="B36" s="54">
        <f>(E22+E31)/1000</f>
        <v>9.9922727548643699</v>
      </c>
      <c r="C36" s="57" t="s">
        <v>61</v>
      </c>
      <c r="D36" s="50">
        <f>(F22+F31)/1000</f>
        <v>1.3972659347354743</v>
      </c>
      <c r="E36" s="51" t="s">
        <v>61</v>
      </c>
    </row>
    <row r="37" spans="2:5" ht="15.75" thickBot="1" x14ac:dyDescent="0.3">
      <c r="B37" s="56">
        <f>(B36/C6)*100</f>
        <v>49961.36377432185</v>
      </c>
      <c r="C37" s="58" t="s">
        <v>62</v>
      </c>
      <c r="D37" s="52">
        <f>(D36/C6)*100</f>
        <v>6986.3296736773718</v>
      </c>
      <c r="E37" s="53" t="s">
        <v>62</v>
      </c>
    </row>
    <row r="38" spans="2:5" ht="21.95" customHeight="1" thickBot="1" x14ac:dyDescent="0.3">
      <c r="B38" s="65" t="s">
        <v>63</v>
      </c>
      <c r="C38" s="66"/>
      <c r="D38" s="66"/>
      <c r="E38" s="67"/>
    </row>
    <row r="39" spans="2:5" x14ac:dyDescent="0.25">
      <c r="B39" s="61" t="s">
        <v>59</v>
      </c>
      <c r="C39" s="62"/>
      <c r="D39" s="63" t="s">
        <v>41</v>
      </c>
      <c r="E39" s="64"/>
    </row>
    <row r="40" spans="2:5" x14ac:dyDescent="0.25">
      <c r="B40" s="54">
        <f>(K22+K31)/1000</f>
        <v>15.466592268952796</v>
      </c>
      <c r="C40" s="57" t="s">
        <v>61</v>
      </c>
      <c r="D40" s="50">
        <f>(L22+L31)/1000</f>
        <v>2.1117372128270935</v>
      </c>
      <c r="E40" s="51" t="s">
        <v>61</v>
      </c>
    </row>
    <row r="41" spans="2:5" ht="15.75" thickBot="1" x14ac:dyDescent="0.3">
      <c r="B41" s="55">
        <f>(B40/C7)*100</f>
        <v>77332.961344763971</v>
      </c>
      <c r="C41" s="59" t="s">
        <v>64</v>
      </c>
      <c r="D41" s="52">
        <f>(D40/C7)*100</f>
        <v>10558.686064135467</v>
      </c>
      <c r="E41" s="53" t="s">
        <v>64</v>
      </c>
    </row>
  </sheetData>
  <sheetProtection algorithmName="SHA-512" hashValue="0dyxuFf2EdU1VEwSs/4EnSJMFqIal0vKpTqqT5D3Yx0ZW2zfJ+IOoiRToIrbQNuZfRhfVXMNuR/H9JqplSSCZA==" saltValue="/bTGx+XbFovTuGUt7iTKmQ==" spinCount="100000" sheet="1" objects="1" scenarios="1"/>
  <mergeCells count="28">
    <mergeCell ref="M11:O12"/>
    <mergeCell ref="C16:D16"/>
    <mergeCell ref="E16:F16"/>
    <mergeCell ref="B15:F15"/>
    <mergeCell ref="C25:D25"/>
    <mergeCell ref="E25:F25"/>
    <mergeCell ref="B33:E33"/>
    <mergeCell ref="B2:D2"/>
    <mergeCell ref="B14:L14"/>
    <mergeCell ref="F8:F12"/>
    <mergeCell ref="F3:F7"/>
    <mergeCell ref="J2:O2"/>
    <mergeCell ref="F2:H2"/>
    <mergeCell ref="I25:J25"/>
    <mergeCell ref="K25:L25"/>
    <mergeCell ref="I16:J16"/>
    <mergeCell ref="K16:L16"/>
    <mergeCell ref="I15:L15"/>
    <mergeCell ref="B24:F24"/>
    <mergeCell ref="I24:L24"/>
    <mergeCell ref="J3:L3"/>
    <mergeCell ref="M3:O3"/>
    <mergeCell ref="B39:C39"/>
    <mergeCell ref="D39:E39"/>
    <mergeCell ref="B35:C35"/>
    <mergeCell ref="D35:E35"/>
    <mergeCell ref="B34:E34"/>
    <mergeCell ref="B38:E38"/>
  </mergeCells>
  <conditionalFormatting sqref="B37 D37 B41 D41">
    <cfRule type="cellIs" dxfId="0" priority="1" operator="greaterThan">
      <formula>100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998D8651-D17D-4FBD-BFB6-8BCE8AB54518}">
          <x14:formula1>
            <xm:f>'Small Tables'!$A$2:$A$3</xm:f>
          </x14:formula1>
          <xm:sqref>C11</xm:sqref>
        </x14:dataValidation>
        <x14:dataValidation type="list" allowBlank="1" showInputMessage="1" showErrorMessage="1" xr:uid="{43FFD500-0963-4187-A467-BB92B50CCBEB}">
          <x14:formula1>
            <xm:f>'Small Tables'!$B$2:$B$4</xm:f>
          </x14:formula1>
          <xm:sqref>C5</xm:sqref>
        </x14:dataValidation>
        <x14:dataValidation type="list" allowBlank="1" showInputMessage="1" showErrorMessage="1" xr:uid="{E7049BCC-418A-4FA9-93CB-C42B843F4991}">
          <x14:formula1>
            <xm:f>'Small Tables'!$D$2:$D$4</xm:f>
          </x14:formula1>
          <xm:sqref>H6 H11</xm:sqref>
        </x14:dataValidation>
        <x14:dataValidation type="list" allowBlank="1" showInputMessage="1" showErrorMessage="1" xr:uid="{87FC3E9B-FA00-4A98-9779-7F48AEAB20B2}">
          <x14:formula1>
            <xm:f>'Small Tables'!$C$2:$C$4</xm:f>
          </x14:formula1>
          <xm:sqref>H7 H12</xm:sqref>
        </x14:dataValidation>
        <x14:dataValidation type="list" allowBlank="1" showInputMessage="1" showErrorMessage="1" xr:uid="{9C2092A4-4E05-42E9-852E-F3E4F6E74E6E}">
          <x14:formula1>
            <xm:f>'Small Tables'!$E$2:$E$3</xm:f>
          </x14:formula1>
          <xm:sqref>H5</xm:sqref>
        </x14:dataValidation>
        <x14:dataValidation type="list" allowBlank="1" showInputMessage="1" showErrorMessage="1" xr:uid="{DF238F5A-AEC1-4E19-B731-04A52EE03952}">
          <x14:formula1>
            <xm:f>'Small Tables'!$F$2:$F$3</xm:f>
          </x14:formula1>
          <xm:sqref>H4 H9</xm:sqref>
        </x14:dataValidation>
        <x14:dataValidation type="list" allowBlank="1" showInputMessage="1" showErrorMessage="1" xr:uid="{464FB4AE-A685-476E-8881-D76B8AD5DE5C}">
          <x14:formula1>
            <xm:f>'Small Tables'!$E$2:$E$4</xm:f>
          </x14:formula1>
          <xm:sqref>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CB42F-A7C4-4928-8624-3BAE47CC11F9}">
  <dimension ref="A1:F17"/>
  <sheetViews>
    <sheetView workbookViewId="0">
      <selection activeCell="C2" sqref="C2"/>
    </sheetView>
  </sheetViews>
  <sheetFormatPr baseColWidth="10" defaultRowHeight="15" x14ac:dyDescent="0.25"/>
  <cols>
    <col min="1" max="1" width="47.28515625" bestFit="1" customWidth="1"/>
    <col min="2" max="2" width="10" bestFit="1" customWidth="1"/>
    <col min="3" max="3" width="13.140625" bestFit="1" customWidth="1"/>
    <col min="4" max="4" width="25.85546875" customWidth="1"/>
    <col min="6" max="6" width="11.5703125" bestFit="1" customWidth="1"/>
    <col min="7" max="7" width="17.28515625" bestFit="1" customWidth="1"/>
    <col min="9" max="9" width="11.5703125" bestFit="1" customWidth="1"/>
  </cols>
  <sheetData>
    <row r="1" spans="1:6" x14ac:dyDescent="0.25">
      <c r="A1" s="1" t="s">
        <v>23</v>
      </c>
      <c r="D1" t="s">
        <v>68</v>
      </c>
      <c r="E1">
        <f>Calculador!C12</f>
        <v>1.4</v>
      </c>
      <c r="F1" t="s">
        <v>65</v>
      </c>
    </row>
    <row r="2" spans="1:6" x14ac:dyDescent="0.25">
      <c r="A2" t="s">
        <v>20</v>
      </c>
      <c r="B2">
        <v>409130.21</v>
      </c>
      <c r="C2" t="s">
        <v>21</v>
      </c>
    </row>
    <row r="3" spans="1:6" x14ac:dyDescent="0.25">
      <c r="A3" t="s">
        <v>22</v>
      </c>
      <c r="B3">
        <v>635618.81999999995</v>
      </c>
      <c r="C3" t="s">
        <v>21</v>
      </c>
    </row>
    <row r="4" spans="1:6" x14ac:dyDescent="0.25">
      <c r="A4" s="1" t="s">
        <v>24</v>
      </c>
    </row>
    <row r="5" spans="1:6" x14ac:dyDescent="0.25">
      <c r="A5" t="s">
        <v>0</v>
      </c>
      <c r="B5">
        <f>IF(E1&gt;1.5,9497*E1,9497)</f>
        <v>9497</v>
      </c>
      <c r="C5" t="s">
        <v>21</v>
      </c>
    </row>
    <row r="6" spans="1:6" x14ac:dyDescent="0.25">
      <c r="A6" t="s">
        <v>2</v>
      </c>
      <c r="B6">
        <f>IF(E1&gt;1.5,21*E1,21)</f>
        <v>21</v>
      </c>
      <c r="C6" t="s">
        <v>21</v>
      </c>
    </row>
    <row r="7" spans="1:6" x14ac:dyDescent="0.25">
      <c r="A7" t="s">
        <v>3</v>
      </c>
      <c r="B7">
        <f>IF(E1&gt;1.5,803*E1,803)</f>
        <v>803</v>
      </c>
      <c r="C7" t="s">
        <v>21</v>
      </c>
    </row>
    <row r="8" spans="1:6" x14ac:dyDescent="0.25">
      <c r="A8" t="s">
        <v>4</v>
      </c>
      <c r="B8">
        <f>IF(E1&gt;1.5,25*E1,25)</f>
        <v>25</v>
      </c>
      <c r="C8" t="s">
        <v>21</v>
      </c>
    </row>
    <row r="9" spans="1:6" x14ac:dyDescent="0.25">
      <c r="A9" t="s">
        <v>5</v>
      </c>
      <c r="B9">
        <f>IF(E1&gt;1.5,5.5*E1,5.5)</f>
        <v>5.5</v>
      </c>
      <c r="C9" t="s">
        <v>21</v>
      </c>
    </row>
    <row r="10" spans="1:6" x14ac:dyDescent="0.25">
      <c r="A10" t="s">
        <v>6</v>
      </c>
      <c r="B10">
        <f>IF(E1&gt;1.5,35*E1,35)</f>
        <v>35</v>
      </c>
      <c r="C10" t="s">
        <v>21</v>
      </c>
    </row>
    <row r="11" spans="1:6" x14ac:dyDescent="0.25">
      <c r="A11" s="1" t="s">
        <v>25</v>
      </c>
    </row>
    <row r="12" spans="1:6" x14ac:dyDescent="0.25">
      <c r="A12" t="s">
        <v>0</v>
      </c>
      <c r="B12">
        <f>IF(E1&gt;1.5,25490*E1,25490)</f>
        <v>25490</v>
      </c>
      <c r="C12" t="s">
        <v>21</v>
      </c>
    </row>
    <row r="13" spans="1:6" x14ac:dyDescent="0.25">
      <c r="A13" t="s">
        <v>2</v>
      </c>
      <c r="B13">
        <f>IF(E1&gt;1.5,164*E1,164)</f>
        <v>164</v>
      </c>
      <c r="C13" t="s">
        <v>21</v>
      </c>
    </row>
    <row r="14" spans="1:6" x14ac:dyDescent="0.25">
      <c r="A14" t="s">
        <v>3</v>
      </c>
      <c r="B14">
        <f>IF(E1&gt;1.5,2787*E1,2787)</f>
        <v>2787</v>
      </c>
      <c r="C14" t="s">
        <v>21</v>
      </c>
    </row>
    <row r="15" spans="1:6" x14ac:dyDescent="0.25">
      <c r="A15" t="s">
        <v>4</v>
      </c>
      <c r="B15">
        <f>IF(E1&gt;1.5,103*E1,103)</f>
        <v>103</v>
      </c>
      <c r="C15" t="s">
        <v>21</v>
      </c>
    </row>
    <row r="16" spans="1:6" x14ac:dyDescent="0.25">
      <c r="A16" t="s">
        <v>5</v>
      </c>
      <c r="B16">
        <f>IF(E1&gt;1.5,11*E1,11)</f>
        <v>11</v>
      </c>
      <c r="C16" t="s">
        <v>21</v>
      </c>
    </row>
    <row r="17" spans="1:3" x14ac:dyDescent="0.25">
      <c r="A17" t="s">
        <v>6</v>
      </c>
      <c r="B17">
        <f>IF(E1&gt;1.5,36*E1,36)</f>
        <v>36</v>
      </c>
      <c r="C17" t="s">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D867-D3C1-4FCB-A90D-D5C66E9F013F}">
  <dimension ref="A1:C25"/>
  <sheetViews>
    <sheetView topLeftCell="A10" workbookViewId="0">
      <selection activeCell="B24" sqref="B24"/>
    </sheetView>
  </sheetViews>
  <sheetFormatPr baseColWidth="10" defaultRowHeight="15" x14ac:dyDescent="0.25"/>
  <cols>
    <col min="1" max="1" width="32" bestFit="1" customWidth="1"/>
  </cols>
  <sheetData>
    <row r="1" spans="1:3" x14ac:dyDescent="0.25">
      <c r="A1" t="s">
        <v>26</v>
      </c>
      <c r="B1">
        <f>Calculador!C12</f>
        <v>1.4</v>
      </c>
    </row>
    <row r="2" spans="1:3" x14ac:dyDescent="0.25">
      <c r="A2" s="1" t="s">
        <v>27</v>
      </c>
      <c r="B2" s="1" t="s">
        <v>29</v>
      </c>
      <c r="C2" s="1" t="s">
        <v>30</v>
      </c>
    </row>
    <row r="3" spans="1:3" x14ac:dyDescent="0.25">
      <c r="A3" t="s">
        <v>0</v>
      </c>
      <c r="B3">
        <f>(B1)^0.64*10^3.91</f>
        <v>10081.425447242065</v>
      </c>
      <c r="C3">
        <f>(B1^0.69)*(10^4.45)</f>
        <v>35549.07826659931</v>
      </c>
    </row>
    <row r="4" spans="1:3" x14ac:dyDescent="0.25">
      <c r="A4" t="s">
        <v>2</v>
      </c>
      <c r="B4">
        <f>(B1^0.46)*10^1.78</f>
        <v>70.342677706910877</v>
      </c>
      <c r="C4">
        <f>(B1^0.53)*(10^3.12)</f>
        <v>1575.6068451364592</v>
      </c>
    </row>
    <row r="5" spans="1:3" x14ac:dyDescent="0.25">
      <c r="A5" t="s">
        <v>3</v>
      </c>
      <c r="B5">
        <f>(B1^0.74)*(10^3.56)</f>
        <v>4657.3057103049996</v>
      </c>
      <c r="C5">
        <f>(B1^0.69)*(10^4.59)</f>
        <v>49071.388260350024</v>
      </c>
    </row>
    <row r="6" spans="1:3" x14ac:dyDescent="0.25">
      <c r="A6" t="s">
        <v>4</v>
      </c>
      <c r="B6">
        <f>(B1^0.62)*(10^1.7)</f>
        <v>61.744656959640622</v>
      </c>
      <c r="C6">
        <f>(B1^0.78)*10^2.53</f>
        <v>440.53444160244197</v>
      </c>
    </row>
    <row r="7" spans="1:3" x14ac:dyDescent="0.25">
      <c r="A7" t="s">
        <v>5</v>
      </c>
      <c r="B7">
        <f>B1*(10^1.8)</f>
        <v>88.334028227227108</v>
      </c>
      <c r="C7">
        <f>B1*(10^2.58)</f>
        <v>532.26515484878621</v>
      </c>
    </row>
    <row r="8" spans="1:3" x14ac:dyDescent="0.25">
      <c r="A8" t="s">
        <v>28</v>
      </c>
      <c r="B8">
        <f>B1*(10^0.13)</f>
        <v>1.8885480356283151</v>
      </c>
      <c r="C8">
        <f>B1*(10^1.42)</f>
        <v>36.823751886535355</v>
      </c>
    </row>
    <row r="9" spans="1:3" x14ac:dyDescent="0.25">
      <c r="A9" t="s">
        <v>6</v>
      </c>
      <c r="B9">
        <f>(B1^0.38)*(10^0.51)</f>
        <v>3.6772965437100682</v>
      </c>
      <c r="C9">
        <f>(B1^0.49)*(10^0.89)</f>
        <v>9.153827782636375</v>
      </c>
    </row>
    <row r="10" spans="1:3" x14ac:dyDescent="0.25">
      <c r="A10" s="1" t="s">
        <v>31</v>
      </c>
      <c r="B10" s="1" t="s">
        <v>29</v>
      </c>
      <c r="C10" s="1" t="s">
        <v>30</v>
      </c>
    </row>
    <row r="11" spans="1:3" x14ac:dyDescent="0.25">
      <c r="A11" t="s">
        <v>0</v>
      </c>
      <c r="B11">
        <f>(B1^0.64)*(10^4.55)</f>
        <v>44007.018192700547</v>
      </c>
      <c r="C11">
        <f>(B1^0.69)*(10^4.95)</f>
        <v>112416.0560420441</v>
      </c>
    </row>
    <row r="12" spans="1:3" x14ac:dyDescent="0.25">
      <c r="A12" t="s">
        <v>2</v>
      </c>
      <c r="B12">
        <f>(B1^0.46)*(10^3.12)</f>
        <v>1538.930108130314</v>
      </c>
      <c r="C12">
        <f>(B1^0.53)*(10^3.68)</f>
        <v>5720.6826841460133</v>
      </c>
    </row>
    <row r="13" spans="1:3" x14ac:dyDescent="0.25">
      <c r="A13" t="s">
        <v>3</v>
      </c>
      <c r="B13">
        <f>(B1^0.74)*(10^4.89)</f>
        <v>99571.430478543334</v>
      </c>
      <c r="C13">
        <f>(B1^0.69)*(10^5.16)</f>
        <v>182317.49479425477</v>
      </c>
    </row>
    <row r="14" spans="1:3" x14ac:dyDescent="0.25">
      <c r="A14" t="s">
        <v>4</v>
      </c>
      <c r="B14">
        <f>(B1^0.62)*(10^3.42)</f>
        <v>3240.4056602982437</v>
      </c>
      <c r="C14">
        <f>(B1^0.78)*(10^3.67)</f>
        <v>6081.0681120362979</v>
      </c>
    </row>
    <row r="15" spans="1:3" x14ac:dyDescent="0.25">
      <c r="A15" t="s">
        <v>5</v>
      </c>
      <c r="B15">
        <f>B1*(10^2.16)</f>
        <v>202.36156790442996</v>
      </c>
      <c r="C15">
        <f>B1*(10^2.3)</f>
        <v>279.33672409564321</v>
      </c>
    </row>
    <row r="16" spans="1:3" x14ac:dyDescent="0.25">
      <c r="A16" t="s">
        <v>28</v>
      </c>
      <c r="B16">
        <f>B1*(10^0.49)</f>
        <v>4.3264136055190265</v>
      </c>
      <c r="C16">
        <f>B1*(10^1.14)</f>
        <v>19.32537970444039</v>
      </c>
    </row>
    <row r="17" spans="1:3" x14ac:dyDescent="0.25">
      <c r="A17" t="s">
        <v>6</v>
      </c>
      <c r="B17">
        <f>(B1^0.38)*(10^3.34)</f>
        <v>2486.157588670153</v>
      </c>
      <c r="C17">
        <f>(B1^0.49)*(10^3.35)</f>
        <v>2639.9927699318887</v>
      </c>
    </row>
    <row r="18" spans="1:3" x14ac:dyDescent="0.25">
      <c r="A18" s="1" t="s">
        <v>32</v>
      </c>
      <c r="B18" s="1" t="s">
        <v>29</v>
      </c>
      <c r="C18" s="1" t="s">
        <v>30</v>
      </c>
    </row>
    <row r="19" spans="1:3" x14ac:dyDescent="0.25">
      <c r="A19" t="s">
        <v>0</v>
      </c>
      <c r="B19">
        <f>(B1^0.64)*(10^3.27)</f>
        <v>2309.5211450876704</v>
      </c>
      <c r="C19">
        <f>(B1^0.69)*(10^3.74)</f>
        <v>6931.5178284504736</v>
      </c>
    </row>
    <row r="20" spans="1:3" x14ac:dyDescent="0.25">
      <c r="A20" t="s">
        <v>2</v>
      </c>
      <c r="B20">
        <f>(B1^0.46)*(10^1.46)</f>
        <v>33.668122325080326</v>
      </c>
      <c r="C20">
        <f>(B1^0.53)*(10^2.29)</f>
        <v>233.049330109658</v>
      </c>
    </row>
    <row r="21" spans="1:3" x14ac:dyDescent="0.25">
      <c r="A21" t="s">
        <v>3</v>
      </c>
      <c r="B21">
        <f>(B1^0.74)*(10^3.04)</f>
        <v>1406.4838392273712</v>
      </c>
      <c r="C21">
        <f>(B1^0.69)*(10^3.87)</f>
        <v>9350.3602706019774</v>
      </c>
    </row>
    <row r="22" spans="1:3" x14ac:dyDescent="0.25">
      <c r="A22" t="s">
        <v>4</v>
      </c>
      <c r="B22">
        <f>(B1^0.62)*(10^1.58)</f>
        <v>46.83811214745301</v>
      </c>
      <c r="C22">
        <f>(B1^0.78)*(10^2.09)</f>
        <v>159.94838811624754</v>
      </c>
    </row>
    <row r="23" spans="1:3" x14ac:dyDescent="0.25">
      <c r="A23" t="s">
        <v>5</v>
      </c>
      <c r="B23">
        <f>B1*(10^1.46)</f>
        <v>40.376441043772488</v>
      </c>
      <c r="C23">
        <f>B1*(10^2.19)</f>
        <v>216.83432664774747</v>
      </c>
    </row>
    <row r="24" spans="1:3" x14ac:dyDescent="0.25">
      <c r="A24" t="s">
        <v>28</v>
      </c>
      <c r="B24">
        <f>B1*(10^-0.21)</f>
        <v>0.86323300260607505</v>
      </c>
      <c r="C24">
        <f>B1*(10^1.03)</f>
        <v>15.001270273326496</v>
      </c>
    </row>
    <row r="25" spans="1:3" x14ac:dyDescent="0.25">
      <c r="A25" t="s">
        <v>6</v>
      </c>
      <c r="B25">
        <f>(B1^0.38)*(10^1.38)</f>
        <v>27.260175881527402</v>
      </c>
      <c r="C25">
        <f>(B1^0.49)*(10^1.81)</f>
        <v>76.138223165100342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3A65E-5C2A-4149-BDCF-0C9141624BB2}">
  <dimension ref="A1:F4"/>
  <sheetViews>
    <sheetView workbookViewId="0">
      <selection activeCell="E17" sqref="E17"/>
    </sheetView>
  </sheetViews>
  <sheetFormatPr baseColWidth="10" defaultRowHeight="15" x14ac:dyDescent="0.25"/>
  <cols>
    <col min="1" max="1" width="19.7109375" bestFit="1" customWidth="1"/>
    <col min="2" max="2" width="17.5703125" bestFit="1" customWidth="1"/>
    <col min="3" max="3" width="14.140625" bestFit="1" customWidth="1"/>
  </cols>
  <sheetData>
    <row r="1" spans="1:6" x14ac:dyDescent="0.25">
      <c r="A1" s="1" t="s">
        <v>18</v>
      </c>
      <c r="B1" s="1" t="s">
        <v>34</v>
      </c>
      <c r="C1" s="1" t="s">
        <v>45</v>
      </c>
      <c r="D1" s="1" t="s">
        <v>49</v>
      </c>
      <c r="E1" s="1" t="s">
        <v>52</v>
      </c>
      <c r="F1" s="1" t="s">
        <v>55</v>
      </c>
    </row>
    <row r="2" spans="1:6" x14ac:dyDescent="0.25">
      <c r="A2" t="s">
        <v>33</v>
      </c>
      <c r="B2" t="s">
        <v>35</v>
      </c>
      <c r="C2" t="s">
        <v>46</v>
      </c>
      <c r="D2" t="s">
        <v>46</v>
      </c>
      <c r="E2" t="s">
        <v>46</v>
      </c>
      <c r="F2" t="s">
        <v>46</v>
      </c>
    </row>
    <row r="3" spans="1:6" x14ac:dyDescent="0.25">
      <c r="A3" t="s">
        <v>17</v>
      </c>
      <c r="B3" t="s">
        <v>36</v>
      </c>
      <c r="C3" t="s">
        <v>47</v>
      </c>
      <c r="D3" t="s">
        <v>50</v>
      </c>
      <c r="E3" t="s">
        <v>53</v>
      </c>
      <c r="F3" t="s">
        <v>56</v>
      </c>
    </row>
    <row r="4" spans="1:6" x14ac:dyDescent="0.25">
      <c r="B4" t="s">
        <v>37</v>
      </c>
      <c r="C4" t="s">
        <v>48</v>
      </c>
      <c r="D4" t="s">
        <v>51</v>
      </c>
      <c r="E4" t="s">
        <v>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Calculador</vt:lpstr>
      <vt:lpstr>Raw data</vt:lpstr>
      <vt:lpstr>Raw data 2</vt:lpstr>
      <vt:lpstr>Small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DÍAZ GARCÍA, FRANCISCO</dc:creator>
  <cp:lastModifiedBy>DÍAZ GARCÍA, FRANCISCO</cp:lastModifiedBy>
  <dcterms:created xsi:type="dcterms:W3CDTF">2025-03-04T06:20:26Z</dcterms:created>
  <dcterms:modified xsi:type="dcterms:W3CDTF">2025-03-12T10:48:54Z</dcterms:modified>
</cp:coreProperties>
</file>